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0" yWindow="60" windowWidth="13380" windowHeight="4340" activeTab="1"/>
  </bookViews>
  <sheets>
    <sheet name="расчет сс" sheetId="2" r:id="rId1"/>
    <sheet name="факт" sheetId="7" r:id="rId2"/>
    <sheet name="итог" sheetId="8" r:id="rId3"/>
    <sheet name="const" sheetId="1" r:id="rId4"/>
    <sheet name="справочник материалы" sheetId="3" r:id="rId5"/>
    <sheet name="справочник инструменты" sheetId="4" r:id="rId6"/>
    <sheet name="справ.сторонних услуг" sheetId="5" r:id="rId7"/>
    <sheet name="карточка" sheetId="6" r:id="rId8"/>
  </sheets>
  <externalReferences>
    <externalReference r:id="rId9"/>
    <externalReference r:id="rId10"/>
  </externalReferences>
  <definedNames>
    <definedName name="_xlnm._FilterDatabase" localSheetId="0" hidden="1">'расчет сс'!$A$1:$F$17</definedName>
    <definedName name="инструменты">'справочник инструменты'!$A$1:$A$2</definedName>
    <definedName name="Материалы">'справочник материалы'!$A$2:$A$62</definedName>
    <definedName name="УСЛУГИ">'справ.сторонних услуг'!$A$1:$A$5</definedName>
  </definedNames>
  <calcPr calcId="145621"/>
</workbook>
</file>

<file path=xl/calcChain.xml><?xml version="1.0" encoding="utf-8"?>
<calcChain xmlns="http://schemas.openxmlformats.org/spreadsheetml/2006/main">
  <c r="D18" i="7" l="1"/>
  <c r="B36" i="7" l="1"/>
  <c r="F3" i="8" l="1"/>
  <c r="B14" i="7" l="1"/>
  <c r="A7" i="7" l="1"/>
  <c r="A6" i="7"/>
  <c r="A5" i="7"/>
  <c r="A4" i="7"/>
  <c r="A3" i="7"/>
  <c r="A40" i="7"/>
  <c r="A46" i="7" s="1"/>
  <c r="B46" i="7" s="1"/>
  <c r="D25" i="7"/>
  <c r="D24" i="7"/>
  <c r="D20" i="7"/>
  <c r="D22" i="7" s="1"/>
  <c r="B13" i="7"/>
  <c r="B15" i="7" s="1"/>
  <c r="C13" i="7"/>
  <c r="C15" i="7" s="1"/>
  <c r="D10" i="7"/>
  <c r="D9" i="7"/>
  <c r="D8" i="7"/>
  <c r="D7" i="7"/>
  <c r="D6" i="7"/>
  <c r="D5" i="7"/>
  <c r="D4" i="7"/>
  <c r="D3" i="7"/>
  <c r="D11" i="7" l="1"/>
  <c r="D13" i="7"/>
  <c r="D15" i="7"/>
  <c r="C14" i="7"/>
  <c r="D14" i="7" s="1"/>
  <c r="A41" i="7"/>
  <c r="B41" i="7" s="1"/>
  <c r="A43" i="7"/>
  <c r="B43" i="7" s="1"/>
  <c r="A45" i="7"/>
  <c r="B45" i="7" s="1"/>
  <c r="A47" i="7"/>
  <c r="B47" i="7" s="1"/>
  <c r="A42" i="7"/>
  <c r="B42" i="7" s="1"/>
  <c r="A44" i="7"/>
  <c r="B44" i="7" s="1"/>
  <c r="B50" i="7" l="1"/>
  <c r="L3" i="8" s="1"/>
  <c r="B38" i="7"/>
  <c r="B51" i="7" s="1"/>
  <c r="B48" i="7"/>
  <c r="N3" i="8" s="1"/>
  <c r="G3" i="8" l="1"/>
  <c r="I3" i="8" s="1"/>
  <c r="E3" i="8"/>
  <c r="D20" i="2" l="1"/>
  <c r="D5" i="2"/>
  <c r="D4" i="2" l="1"/>
  <c r="D6" i="2"/>
  <c r="D7" i="2"/>
  <c r="D8" i="2"/>
  <c r="D9" i="2"/>
  <c r="D10" i="2"/>
  <c r="D25" i="2"/>
  <c r="D24" i="2"/>
  <c r="F35" i="6" l="1"/>
  <c r="D26" i="6"/>
  <c r="D25" i="6"/>
  <c r="D24" i="6"/>
  <c r="D23" i="6"/>
  <c r="D22" i="2" l="1"/>
  <c r="C13" i="2" l="1"/>
  <c r="A40" i="2"/>
  <c r="A44" i="2" s="1"/>
  <c r="C15" i="2" l="1"/>
  <c r="C14" i="2"/>
  <c r="A47" i="2" l="1"/>
  <c r="B47" i="2" s="1"/>
  <c r="A46" i="2"/>
  <c r="B46" i="2" s="1"/>
  <c r="A45" i="2" l="1"/>
  <c r="B45" i="2" s="1"/>
  <c r="B44" i="2"/>
  <c r="A43" i="2"/>
  <c r="B43" i="2" s="1"/>
  <c r="A42" i="2"/>
  <c r="B42" i="2" s="1"/>
  <c r="A41" i="2"/>
  <c r="B41" i="2" s="1"/>
  <c r="D3" i="2"/>
  <c r="B48" i="2" l="1"/>
  <c r="M3" i="8" s="1"/>
  <c r="D11" i="2"/>
  <c r="D29" i="7" l="1"/>
  <c r="P3" i="8" s="1"/>
  <c r="D29" i="2"/>
  <c r="O3" i="8" s="1"/>
  <c r="D16" i="7"/>
  <c r="B49" i="7" l="1"/>
  <c r="D17" i="7"/>
  <c r="D31" i="7" s="1"/>
  <c r="D32" i="7" s="1"/>
  <c r="D16" i="2"/>
  <c r="B49" i="2" s="1"/>
  <c r="Q3" i="8" s="1"/>
  <c r="B14" i="2"/>
  <c r="D14" i="2" l="1"/>
  <c r="B13" i="2"/>
  <c r="B52" i="7"/>
  <c r="T3" i="8" s="1"/>
  <c r="R3" i="8"/>
  <c r="B15" i="2" l="1"/>
  <c r="D15" i="2" s="1"/>
  <c r="D13" i="2"/>
  <c r="B50" i="2" l="1"/>
  <c r="K3" i="8" s="1"/>
  <c r="D17" i="2"/>
  <c r="D31" i="2" s="1"/>
  <c r="D32" i="2" s="1"/>
  <c r="D33" i="2" s="1"/>
  <c r="B38" i="2" l="1"/>
  <c r="F36" i="6"/>
  <c r="B51" i="2" l="1"/>
  <c r="B52" i="2"/>
  <c r="S3" i="8" s="1"/>
</calcChain>
</file>

<file path=xl/sharedStrings.xml><?xml version="1.0" encoding="utf-8"?>
<sst xmlns="http://schemas.openxmlformats.org/spreadsheetml/2006/main" count="133" uniqueCount="90">
  <si>
    <t>кол-во р.д в тек.мес.</t>
  </si>
  <si>
    <t>тираж</t>
  </si>
  <si>
    <t>Кол-во на единицу, м/шт</t>
  </si>
  <si>
    <t>Цена матер. на ед-цу, руб</t>
  </si>
  <si>
    <t>Стоимость на ед-цу изд., руб.</t>
  </si>
  <si>
    <t>ИТОГО ПО МАТЕРИАЛАМ</t>
  </si>
  <si>
    <t>упаковка</t>
  </si>
  <si>
    <t>крой</t>
  </si>
  <si>
    <t>ИТОГО</t>
  </si>
  <si>
    <t>выработка</t>
  </si>
  <si>
    <t>пошив</t>
  </si>
  <si>
    <t>вспомогат.работы</t>
  </si>
  <si>
    <t>накладные расходы</t>
  </si>
  <si>
    <t>Наценка</t>
  </si>
  <si>
    <t>ИТОГО ЗА ЕД-ЦУ ИЗД-ИЯ СЕБЕСТОИМОСЬ</t>
  </si>
  <si>
    <t>Цена продажи без налога</t>
  </si>
  <si>
    <t>Итоговая  цена продажи изделия</t>
  </si>
  <si>
    <t>Наименование</t>
  </si>
  <si>
    <t>Цена</t>
  </si>
  <si>
    <t>Итого по заказу</t>
  </si>
  <si>
    <t>Итого материалы</t>
  </si>
  <si>
    <t>Итого накладные расходы</t>
  </si>
  <si>
    <t>ФОТ</t>
  </si>
  <si>
    <t>Налоги</t>
  </si>
  <si>
    <t>Прибыль</t>
  </si>
  <si>
    <t>Оксфорд 210</t>
  </si>
  <si>
    <t>Шнур</t>
  </si>
  <si>
    <t>Бязь 140г/м2</t>
  </si>
  <si>
    <t>Войлок</t>
  </si>
  <si>
    <t>Кожзам</t>
  </si>
  <si>
    <t>Полиэстр</t>
  </si>
  <si>
    <t>полиэстер 600PVC</t>
  </si>
  <si>
    <t>клише</t>
  </si>
  <si>
    <t>резак</t>
  </si>
  <si>
    <t>Шелкография</t>
  </si>
  <si>
    <t>Сублимация</t>
  </si>
  <si>
    <t>Тиснение</t>
  </si>
  <si>
    <t>Термотрансфер</t>
  </si>
  <si>
    <t>Вышивка</t>
  </si>
  <si>
    <t>Материалы</t>
  </si>
  <si>
    <t>Сторонние услуги</t>
  </si>
  <si>
    <t xml:space="preserve">ИТОГО </t>
  </si>
  <si>
    <t>Итог. затраты мат/заказ</t>
  </si>
  <si>
    <t>Итоговые затраты на заказ(руб.)</t>
  </si>
  <si>
    <t>Расходные инструменты</t>
  </si>
  <si>
    <t>Работа</t>
  </si>
  <si>
    <t>Пенка</t>
  </si>
  <si>
    <t>ИП «Мамаджанян М.Г.»</t>
  </si>
  <si>
    <t xml:space="preserve">Производство рекламно-сувенирной продукции </t>
  </si>
  <si>
    <t xml:space="preserve"> www.migma.ru   www.meshochki.ru </t>
  </si>
  <si>
    <t>info@migma.ru , 7203045@gmail.com</t>
  </si>
  <si>
    <t>Логотип</t>
  </si>
  <si>
    <t>Срок/Дата поставки</t>
  </si>
  <si>
    <t>Количество</t>
  </si>
  <si>
    <t>Стоимость за единицу</t>
  </si>
  <si>
    <t>тел., +7 495 7203045</t>
  </si>
  <si>
    <t>Кант Кедр</t>
  </si>
  <si>
    <t>Стропа 30 мм</t>
  </si>
  <si>
    <t>Молния №5</t>
  </si>
  <si>
    <t>Молния №3</t>
  </si>
  <si>
    <t>Замок №3</t>
  </si>
  <si>
    <t>Замок №5</t>
  </si>
  <si>
    <t>Молния №6</t>
  </si>
  <si>
    <t>Замок №6</t>
  </si>
  <si>
    <t>Молния №10</t>
  </si>
  <si>
    <t>Замок №10</t>
  </si>
  <si>
    <t>кожзам</t>
  </si>
  <si>
    <t>бегунок</t>
  </si>
  <si>
    <t>пенка</t>
  </si>
  <si>
    <t>№</t>
  </si>
  <si>
    <t>Дата заказа</t>
  </si>
  <si>
    <t>Заказчик</t>
  </si>
  <si>
    <t>Кол-во</t>
  </si>
  <si>
    <t>Сумма</t>
  </si>
  <si>
    <t>Оплата</t>
  </si>
  <si>
    <t>Остаток оплаты</t>
  </si>
  <si>
    <t>Дата отгрузки</t>
  </si>
  <si>
    <t>ФОТ расч.</t>
  </si>
  <si>
    <t>ФОТ факт</t>
  </si>
  <si>
    <t>Материалы расч.</t>
  </si>
  <si>
    <t>Материалы факт</t>
  </si>
  <si>
    <t>Стор.усл.расч</t>
  </si>
  <si>
    <t>Стор.усл.факт</t>
  </si>
  <si>
    <t>Накл.расх.расч.</t>
  </si>
  <si>
    <t>Накл.расх.факт</t>
  </si>
  <si>
    <t>Прибыль расчет</t>
  </si>
  <si>
    <t>Прибыль факт.</t>
  </si>
  <si>
    <t>Коментарий</t>
  </si>
  <si>
    <t>Медиа Миры</t>
  </si>
  <si>
    <t xml:space="preserve">Портфель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</si>
</sst>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8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2" xfId="0" applyBorder="1"/>
    <xf numFmtId="4" fontId="0" fillId="0" borderId="2" xfId="0" applyNumberForma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/>
    <xf numFmtId="0" fontId="1" fillId="0" borderId="4" xfId="0" applyFont="1" applyBorder="1" applyAlignment="1">
      <alignment horizontal="center" wrapText="1"/>
    </xf>
    <xf numFmtId="0" fontId="0" fillId="0" borderId="5" xfId="0" applyBorder="1"/>
    <xf numFmtId="4" fontId="1" fillId="0" borderId="4" xfId="0" applyNumberFormat="1" applyFont="1" applyFill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/>
    <xf numFmtId="0" fontId="1" fillId="2" borderId="3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6" xfId="0" applyBorder="1"/>
    <xf numFmtId="4" fontId="0" fillId="0" borderId="17" xfId="0" applyNumberFormat="1" applyBorder="1" applyAlignment="1">
      <alignment horizontal="center"/>
    </xf>
    <xf numFmtId="0" fontId="1" fillId="0" borderId="18" xfId="0" applyFont="1" applyFill="1" applyBorder="1"/>
    <xf numFmtId="0" fontId="0" fillId="0" borderId="19" xfId="0" applyBorder="1"/>
    <xf numFmtId="0" fontId="0" fillId="0" borderId="16" xfId="0" applyFill="1" applyBorder="1"/>
    <xf numFmtId="4" fontId="2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wrapText="1"/>
    </xf>
    <xf numFmtId="4" fontId="1" fillId="0" borderId="1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0" fillId="0" borderId="24" xfId="0" applyBorder="1"/>
    <xf numFmtId="0" fontId="0" fillId="0" borderId="1" xfId="0" applyBorder="1"/>
    <xf numFmtId="0" fontId="2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1" fillId="0" borderId="27" xfId="0" applyFont="1" applyBorder="1" applyAlignment="1">
      <alignment wrapText="1"/>
    </xf>
    <xf numFmtId="4" fontId="1" fillId="0" borderId="28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7" xfId="0" applyFill="1" applyBorder="1"/>
    <xf numFmtId="4" fontId="0" fillId="0" borderId="28" xfId="0" applyNumberForma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3" xfId="0" applyFont="1" applyBorder="1" applyAlignment="1">
      <alignment wrapText="1"/>
    </xf>
    <xf numFmtId="0" fontId="0" fillId="0" borderId="3" xfId="0" applyBorder="1"/>
    <xf numFmtId="4" fontId="1" fillId="0" borderId="44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0" fillId="0" borderId="45" xfId="0" applyNumberFormat="1" applyBorder="1"/>
    <xf numFmtId="4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0" fillId="0" borderId="51" xfId="0" applyBorder="1" applyAlignment="1">
      <alignment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3" fontId="0" fillId="0" borderId="49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3" fontId="0" fillId="0" borderId="0" xfId="0" applyNumberFormat="1"/>
    <xf numFmtId="1" fontId="0" fillId="0" borderId="1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14" fontId="0" fillId="0" borderId="0" xfId="0" applyNumberFormat="1"/>
    <xf numFmtId="0" fontId="0" fillId="0" borderId="47" xfId="0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36" xfId="0" applyNumberFormat="1" applyBorder="1" applyAlignment="1">
      <alignment horizontal="center" wrapText="1"/>
    </xf>
    <xf numFmtId="4" fontId="0" fillId="0" borderId="37" xfId="0" applyNumberFormat="1" applyBorder="1" applyAlignment="1">
      <alignment horizontal="center" wrapText="1"/>
    </xf>
    <xf numFmtId="4" fontId="0" fillId="0" borderId="38" xfId="0" applyNumberFormat="1" applyBorder="1" applyAlignment="1">
      <alignment horizontal="center" wrapText="1"/>
    </xf>
    <xf numFmtId="4" fontId="0" fillId="0" borderId="35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39" xfId="0" applyNumberFormat="1" applyBorder="1" applyAlignment="1">
      <alignment horizontal="center" wrapText="1"/>
    </xf>
    <xf numFmtId="4" fontId="0" fillId="0" borderId="40" xfId="0" applyNumberFormat="1" applyBorder="1" applyAlignment="1">
      <alignment horizontal="center" wrapText="1"/>
    </xf>
    <xf numFmtId="4" fontId="0" fillId="0" borderId="41" xfId="0" applyNumberFormat="1" applyBorder="1" applyAlignment="1">
      <alignment horizontal="center" wrapText="1"/>
    </xf>
    <xf numFmtId="4" fontId="0" fillId="0" borderId="42" xfId="0" applyNumberForma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266700</xdr:colOff>
          <xdr:row>0</xdr:row>
          <xdr:rowOff>69850</xdr:rowOff>
        </xdr:from>
        <xdr:to>
          <xdr:col>5</xdr:col>
          <xdr:colOff>146050</xdr:colOff>
          <xdr:row>3</xdr:row>
          <xdr:rowOff>127000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72;&#1103;%20&#1090;&#1072;&#1073;&#1083;&#1080;&#109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Google%20&#1044;&#1080;&#1089;&#1082;/MIGMA/&#1056;&#1040;&#1057;&#1063;&#1045;&#1058;&#1067;/&#1060;&#1080;&#1085;&#1072;&#1085;&#1089;&#1099;/&#1087;&#1086;&#1089;&#1090;&#1086;&#1103;&#1085;&#1099;&#1077;%20&#1079;&#1072;&#1090;&#1088;&#1072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7">
          <cell r="I7">
            <v>33.29105897273304</v>
          </cell>
        </row>
        <row r="8">
          <cell r="I8">
            <v>2</v>
          </cell>
        </row>
        <row r="12">
          <cell r="I12">
            <v>2000</v>
          </cell>
        </row>
        <row r="15">
          <cell r="F15">
            <v>2.4</v>
          </cell>
          <cell r="H15">
            <v>1.6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оянные затраты"/>
      <sheetName val="лист расчета"/>
    </sheetNames>
    <sheetDataSet>
      <sheetData sheetId="0">
        <row r="12">
          <cell r="D12">
            <v>3265.9358974358965</v>
          </cell>
        </row>
        <row r="15">
          <cell r="D15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4" zoomScaleNormal="84" workbookViewId="0">
      <selection activeCell="D33" sqref="D33"/>
    </sheetView>
  </sheetViews>
  <sheetFormatPr defaultRowHeight="14.5" x14ac:dyDescent="0.35"/>
  <cols>
    <col min="1" max="1" width="24.81640625" customWidth="1"/>
    <col min="2" max="2" width="13" customWidth="1"/>
    <col min="3" max="3" width="14.54296875" customWidth="1"/>
    <col min="4" max="6" width="14" customWidth="1"/>
    <col min="7" max="7" width="20.81640625" customWidth="1"/>
    <col min="8" max="8" width="19.453125" customWidth="1"/>
    <col min="9" max="9" width="15.54296875" customWidth="1"/>
    <col min="10" max="10" width="11.7265625" customWidth="1"/>
  </cols>
  <sheetData>
    <row r="1" spans="1:6" ht="29.5" customHeight="1" x14ac:dyDescent="0.35">
      <c r="A1" s="111" t="s">
        <v>39</v>
      </c>
      <c r="B1" s="113" t="s">
        <v>2</v>
      </c>
      <c r="C1" s="113" t="s">
        <v>3</v>
      </c>
      <c r="D1" s="113" t="s">
        <v>4</v>
      </c>
      <c r="E1" s="53"/>
      <c r="F1" s="53"/>
    </row>
    <row r="2" spans="1:6" ht="18.649999999999999" customHeight="1" thickBot="1" x14ac:dyDescent="0.4">
      <c r="A2" s="112"/>
      <c r="B2" s="114"/>
      <c r="C2" s="114"/>
      <c r="D2" s="114"/>
      <c r="E2" s="53"/>
      <c r="F2" s="53"/>
    </row>
    <row r="3" spans="1:6" ht="27.65" customHeight="1" x14ac:dyDescent="0.35">
      <c r="A3" s="22" t="s">
        <v>66</v>
      </c>
      <c r="B3" s="23">
        <v>0.3</v>
      </c>
      <c r="C3" s="24">
        <v>284</v>
      </c>
      <c r="D3" s="25">
        <f t="shared" ref="D3:D10" si="0">B3*C3</f>
        <v>85.2</v>
      </c>
      <c r="E3" s="54"/>
      <c r="F3" s="54"/>
    </row>
    <row r="4" spans="1:6" ht="17.149999999999999" customHeight="1" x14ac:dyDescent="0.35">
      <c r="A4" s="26" t="s">
        <v>62</v>
      </c>
      <c r="B4" s="10">
        <v>1.3</v>
      </c>
      <c r="C4" s="4">
        <v>5.42</v>
      </c>
      <c r="D4" s="27">
        <f t="shared" si="0"/>
        <v>7.0460000000000003</v>
      </c>
      <c r="E4" s="54"/>
      <c r="F4" s="54"/>
    </row>
    <row r="5" spans="1:6" x14ac:dyDescent="0.35">
      <c r="A5" s="26" t="s">
        <v>67</v>
      </c>
      <c r="B5" s="73">
        <v>4</v>
      </c>
      <c r="C5" s="4">
        <v>5.3</v>
      </c>
      <c r="D5" s="27">
        <f>C5*B5</f>
        <v>21.2</v>
      </c>
      <c r="E5" s="54"/>
      <c r="F5" s="54"/>
    </row>
    <row r="6" spans="1:6" ht="16.5" customHeight="1" x14ac:dyDescent="0.35">
      <c r="A6" s="26" t="s">
        <v>68</v>
      </c>
      <c r="B6" s="10">
        <v>0.26</v>
      </c>
      <c r="C6" s="4">
        <v>20.2</v>
      </c>
      <c r="D6" s="27">
        <f t="shared" si="0"/>
        <v>5.2519999999999998</v>
      </c>
      <c r="E6" s="54"/>
      <c r="F6" s="54"/>
    </row>
    <row r="7" spans="1:6" x14ac:dyDescent="0.35">
      <c r="A7" s="26" t="s">
        <v>25</v>
      </c>
      <c r="B7" s="10">
        <v>0.45</v>
      </c>
      <c r="C7" s="4">
        <v>53</v>
      </c>
      <c r="D7" s="27">
        <f t="shared" si="0"/>
        <v>23.85</v>
      </c>
      <c r="E7" s="54"/>
      <c r="F7" s="54"/>
    </row>
    <row r="8" spans="1:6" x14ac:dyDescent="0.35">
      <c r="A8" s="26"/>
      <c r="B8" s="10"/>
      <c r="C8" s="4"/>
      <c r="D8" s="27">
        <f t="shared" si="0"/>
        <v>0</v>
      </c>
      <c r="E8" s="54"/>
      <c r="F8" s="54"/>
    </row>
    <row r="9" spans="1:6" x14ac:dyDescent="0.35">
      <c r="A9" s="26"/>
      <c r="B9" s="10"/>
      <c r="C9" s="4"/>
      <c r="D9" s="27">
        <f t="shared" si="0"/>
        <v>0</v>
      </c>
      <c r="E9" s="54"/>
      <c r="F9" s="54"/>
    </row>
    <row r="10" spans="1:6" ht="15" thickBot="1" x14ac:dyDescent="0.4">
      <c r="A10" s="26"/>
      <c r="B10" s="10"/>
      <c r="C10" s="4"/>
      <c r="D10" s="51">
        <f t="shared" si="0"/>
        <v>0</v>
      </c>
      <c r="E10" s="54"/>
      <c r="F10" s="54"/>
    </row>
    <row r="11" spans="1:6" ht="15" thickBot="1" x14ac:dyDescent="0.4">
      <c r="A11" s="28" t="s">
        <v>5</v>
      </c>
      <c r="B11" s="29"/>
      <c r="C11" s="78"/>
      <c r="D11" s="15">
        <f>SUM(D3:D10)</f>
        <v>142.548</v>
      </c>
      <c r="E11" s="101"/>
      <c r="F11" s="101"/>
    </row>
    <row r="12" spans="1:6" ht="19" thickBot="1" x14ac:dyDescent="0.5">
      <c r="A12" s="102" t="s">
        <v>45</v>
      </c>
      <c r="B12" s="103"/>
      <c r="C12" s="103"/>
      <c r="D12" s="104"/>
      <c r="E12" s="101"/>
      <c r="F12" s="101"/>
    </row>
    <row r="13" spans="1:6" x14ac:dyDescent="0.35">
      <c r="A13" s="22" t="s">
        <v>7</v>
      </c>
      <c r="B13" s="96">
        <f>B14*10</f>
        <v>332.91058972733038</v>
      </c>
      <c r="C13" s="23">
        <f>[1]Лист2!I12</f>
        <v>2000</v>
      </c>
      <c r="D13" s="25">
        <f>C13/B13</f>
        <v>6.0076190476190474</v>
      </c>
      <c r="E13" s="54"/>
      <c r="F13" s="54"/>
    </row>
    <row r="14" spans="1:6" x14ac:dyDescent="0.35">
      <c r="A14" s="26" t="s">
        <v>10</v>
      </c>
      <c r="B14" s="11">
        <f>[1]Лист2!I7</f>
        <v>33.29105897273304</v>
      </c>
      <c r="C14" s="10">
        <f>C13</f>
        <v>2000</v>
      </c>
      <c r="D14" s="27">
        <f>C14/B14</f>
        <v>60.076190476190469</v>
      </c>
      <c r="E14" s="54"/>
      <c r="F14" s="54"/>
    </row>
    <row r="15" spans="1:6" x14ac:dyDescent="0.35">
      <c r="A15" s="30" t="s">
        <v>11</v>
      </c>
      <c r="B15" s="97">
        <f>B13</f>
        <v>332.91058972733038</v>
      </c>
      <c r="C15" s="10">
        <f>C13</f>
        <v>2000</v>
      </c>
      <c r="D15" s="27">
        <f>C15/B15</f>
        <v>6.0076190476190474</v>
      </c>
      <c r="E15" s="54"/>
      <c r="F15" s="54"/>
    </row>
    <row r="16" spans="1:6" ht="15" thickBot="1" x14ac:dyDescent="0.4">
      <c r="A16" s="50" t="s">
        <v>12</v>
      </c>
      <c r="B16" s="46"/>
      <c r="C16" s="46"/>
      <c r="D16" s="51">
        <f>('[2]постоянные затраты'!$D$12/([1]Лист2!I7*[1]Лист2!I8))+[1]Лист2!F15</f>
        <v>51.451246764346742</v>
      </c>
      <c r="E16" s="54"/>
      <c r="F16" s="54"/>
    </row>
    <row r="17" spans="1:6" ht="15" thickBot="1" x14ac:dyDescent="0.4">
      <c r="A17" s="52" t="s">
        <v>8</v>
      </c>
      <c r="B17" s="35"/>
      <c r="C17" s="35"/>
      <c r="D17" s="36">
        <f>SUM(D13:D16)</f>
        <v>123.5426753357753</v>
      </c>
      <c r="E17" s="45"/>
      <c r="F17" s="45"/>
    </row>
    <row r="18" spans="1:6" ht="26.15" customHeight="1" thickBot="1" x14ac:dyDescent="0.5">
      <c r="A18" s="71" t="s">
        <v>13</v>
      </c>
      <c r="B18" s="32"/>
      <c r="C18" s="60"/>
      <c r="D18" s="72">
        <v>1.6</v>
      </c>
      <c r="E18" s="45"/>
      <c r="F18" s="45"/>
    </row>
    <row r="19" spans="1:6" ht="15.5" x14ac:dyDescent="0.35">
      <c r="A19" s="105" t="s">
        <v>44</v>
      </c>
      <c r="B19" s="106"/>
      <c r="C19" s="106"/>
      <c r="D19" s="107"/>
      <c r="E19" s="44"/>
      <c r="F19" s="44"/>
    </row>
    <row r="20" spans="1:6" ht="15.5" x14ac:dyDescent="0.35">
      <c r="A20" s="48" t="s">
        <v>32</v>
      </c>
      <c r="B20" s="10">
        <v>750</v>
      </c>
      <c r="C20" s="10">
        <v>1600</v>
      </c>
      <c r="D20" s="34">
        <f>C20/B20</f>
        <v>2.1333333333333333</v>
      </c>
      <c r="E20" s="45"/>
      <c r="F20" s="45"/>
    </row>
    <row r="21" spans="1:6" ht="16" thickBot="1" x14ac:dyDescent="0.4">
      <c r="A21" s="49"/>
      <c r="B21" s="46"/>
      <c r="C21" s="46"/>
      <c r="D21" s="42"/>
      <c r="E21" s="45"/>
      <c r="F21" s="45"/>
    </row>
    <row r="22" spans="1:6" ht="15" thickBot="1" x14ac:dyDescent="0.4">
      <c r="A22" s="52" t="s">
        <v>8</v>
      </c>
      <c r="B22" s="35"/>
      <c r="C22" s="35"/>
      <c r="D22" s="36">
        <f>SUM(D20:D21)</f>
        <v>2.1333333333333333</v>
      </c>
      <c r="E22" s="45"/>
      <c r="F22" s="45"/>
    </row>
    <row r="23" spans="1:6" ht="18" customHeight="1" x14ac:dyDescent="0.35">
      <c r="A23" s="108" t="s">
        <v>40</v>
      </c>
      <c r="B23" s="109"/>
      <c r="C23" s="109"/>
      <c r="D23" s="110"/>
      <c r="E23" s="56"/>
      <c r="F23" s="56"/>
    </row>
    <row r="24" spans="1:6" ht="16" customHeight="1" x14ac:dyDescent="0.35">
      <c r="A24" s="77" t="s">
        <v>36</v>
      </c>
      <c r="B24" s="3">
        <v>1</v>
      </c>
      <c r="C24" s="3">
        <v>15</v>
      </c>
      <c r="D24" s="5">
        <f>C24*B24</f>
        <v>15</v>
      </c>
      <c r="E24" s="45"/>
      <c r="F24" s="45"/>
    </row>
    <row r="25" spans="1:6" ht="16" customHeight="1" x14ac:dyDescent="0.35">
      <c r="A25" s="74"/>
      <c r="B25" s="75"/>
      <c r="C25" s="75"/>
      <c r="D25" s="76">
        <f>C25*B25</f>
        <v>0</v>
      </c>
      <c r="E25" s="45"/>
      <c r="F25" s="45"/>
    </row>
    <row r="26" spans="1:6" ht="16" customHeight="1" x14ac:dyDescent="0.35">
      <c r="A26" s="33"/>
      <c r="B26" s="3"/>
      <c r="C26" s="3"/>
      <c r="D26" s="34"/>
      <c r="E26" s="45"/>
      <c r="F26" s="45"/>
    </row>
    <row r="27" spans="1:6" ht="16" customHeight="1" x14ac:dyDescent="0.35">
      <c r="A27" s="33"/>
      <c r="B27" s="3"/>
      <c r="C27" s="3"/>
      <c r="D27" s="34"/>
      <c r="E27" s="45"/>
      <c r="F27" s="45"/>
    </row>
    <row r="28" spans="1:6" ht="16" customHeight="1" thickBot="1" x14ac:dyDescent="0.4">
      <c r="A28" s="41"/>
      <c r="B28" s="38"/>
      <c r="C28" s="38"/>
      <c r="D28" s="42"/>
      <c r="E28" s="45"/>
      <c r="F28" s="45"/>
    </row>
    <row r="29" spans="1:6" ht="16" customHeight="1" thickBot="1" x14ac:dyDescent="0.4">
      <c r="A29" s="43" t="s">
        <v>41</v>
      </c>
      <c r="B29" s="37"/>
      <c r="C29" s="37"/>
      <c r="D29" s="36">
        <f>SUM(D24:D28)+[1]Лист2!H15</f>
        <v>16.600000000000001</v>
      </c>
      <c r="E29" s="45"/>
      <c r="F29" s="45"/>
    </row>
    <row r="30" spans="1:6" ht="15" thickBot="1" x14ac:dyDescent="0.4">
      <c r="A30" s="6"/>
      <c r="D30" s="98"/>
      <c r="E30" s="98"/>
      <c r="F30" s="98"/>
    </row>
    <row r="31" spans="1:6" ht="29.5" thickBot="1" x14ac:dyDescent="0.4">
      <c r="A31" s="13" t="s">
        <v>14</v>
      </c>
      <c r="B31" s="14"/>
      <c r="C31" s="14"/>
      <c r="D31" s="15">
        <f>D11+D17+D22</f>
        <v>268.22400866910863</v>
      </c>
      <c r="E31" s="55"/>
      <c r="F31" s="55"/>
    </row>
    <row r="32" spans="1:6" ht="15" thickBot="1" x14ac:dyDescent="0.4">
      <c r="A32" s="16" t="s">
        <v>15</v>
      </c>
      <c r="B32" s="14"/>
      <c r="C32" s="14"/>
      <c r="D32" s="15">
        <f>D31*D18+D29</f>
        <v>445.75841387057386</v>
      </c>
      <c r="E32" s="55"/>
      <c r="F32" s="55"/>
    </row>
    <row r="33" spans="1:6" ht="31.5" thickBot="1" x14ac:dyDescent="0.4">
      <c r="A33" s="17" t="s">
        <v>16</v>
      </c>
      <c r="B33" s="14"/>
      <c r="C33" s="14"/>
      <c r="D33" s="18">
        <f>D32/0.93</f>
        <v>479.31012244147723</v>
      </c>
      <c r="E33" s="31"/>
      <c r="F33" s="31"/>
    </row>
    <row r="35" spans="1:6" x14ac:dyDescent="0.35">
      <c r="A35" s="8" t="s">
        <v>0</v>
      </c>
      <c r="B35" s="9">
        <v>26</v>
      </c>
    </row>
    <row r="36" spans="1:6" x14ac:dyDescent="0.35">
      <c r="A36" s="9" t="s">
        <v>1</v>
      </c>
      <c r="B36" s="9">
        <v>750</v>
      </c>
    </row>
    <row r="37" spans="1:6" ht="15" thickBot="1" x14ac:dyDescent="0.4">
      <c r="A37" s="8" t="s">
        <v>9</v>
      </c>
      <c r="B37" s="9">
        <v>35</v>
      </c>
    </row>
    <row r="38" spans="1:6" ht="18.5" x14ac:dyDescent="0.45">
      <c r="A38" s="61" t="s">
        <v>19</v>
      </c>
      <c r="B38" s="62">
        <f>D33*B36</f>
        <v>359482.59183110791</v>
      </c>
    </row>
    <row r="39" spans="1:6" ht="43.5" x14ac:dyDescent="0.35">
      <c r="A39" s="58" t="s">
        <v>42</v>
      </c>
      <c r="B39" s="58" t="s">
        <v>43</v>
      </c>
    </row>
    <row r="40" spans="1:6" x14ac:dyDescent="0.35">
      <c r="A40" s="21">
        <f>B36</f>
        <v>750</v>
      </c>
      <c r="B40" s="59"/>
    </row>
    <row r="41" spans="1:6" x14ac:dyDescent="0.35">
      <c r="A41" s="10">
        <f>B3*$A$40</f>
        <v>225</v>
      </c>
      <c r="B41" s="3">
        <f>C3*A41</f>
        <v>63900</v>
      </c>
    </row>
    <row r="42" spans="1:6" x14ac:dyDescent="0.35">
      <c r="A42" s="10">
        <f>B4*$A$40</f>
        <v>975</v>
      </c>
      <c r="B42" s="3">
        <f>C4*A42</f>
        <v>5284.5</v>
      </c>
    </row>
    <row r="43" spans="1:6" x14ac:dyDescent="0.35">
      <c r="A43" s="10">
        <f>B6*$A$40</f>
        <v>195</v>
      </c>
      <c r="B43" s="3">
        <f t="shared" ref="B43:B47" si="1">C6*A43</f>
        <v>3939</v>
      </c>
    </row>
    <row r="44" spans="1:6" x14ac:dyDescent="0.35">
      <c r="A44" s="69">
        <f>B7*$A$40</f>
        <v>337.5</v>
      </c>
      <c r="B44" s="3">
        <f t="shared" si="1"/>
        <v>17887.5</v>
      </c>
    </row>
    <row r="45" spans="1:6" x14ac:dyDescent="0.35">
      <c r="A45" s="10">
        <f>B8*$A$40</f>
        <v>0</v>
      </c>
      <c r="B45" s="3">
        <f t="shared" si="1"/>
        <v>0</v>
      </c>
    </row>
    <row r="46" spans="1:6" x14ac:dyDescent="0.35">
      <c r="A46" s="10">
        <f>B9*$A$40</f>
        <v>0</v>
      </c>
      <c r="B46" s="3">
        <f t="shared" si="1"/>
        <v>0</v>
      </c>
    </row>
    <row r="47" spans="1:6" ht="15" thickBot="1" x14ac:dyDescent="0.4">
      <c r="A47" s="10">
        <f>B10*$A$40</f>
        <v>0</v>
      </c>
      <c r="B47" s="38">
        <f t="shared" si="1"/>
        <v>0</v>
      </c>
    </row>
    <row r="48" spans="1:6" ht="15" thickBot="1" x14ac:dyDescent="0.4">
      <c r="A48" s="20" t="s">
        <v>20</v>
      </c>
      <c r="B48" s="63">
        <f>SUM(B41:B47)</f>
        <v>91011</v>
      </c>
    </row>
    <row r="49" spans="1:2" ht="29.5" thickBot="1" x14ac:dyDescent="0.4">
      <c r="A49" s="40" t="s">
        <v>21</v>
      </c>
      <c r="B49" s="64">
        <f>D16*'расчет сс'!B36</f>
        <v>38588.435073260058</v>
      </c>
    </row>
    <row r="50" spans="1:2" ht="15" thickBot="1" x14ac:dyDescent="0.4">
      <c r="A50" s="39" t="s">
        <v>22</v>
      </c>
      <c r="B50" s="65">
        <f>SUM(D13:D15)*B36</f>
        <v>54068.571428571428</v>
      </c>
    </row>
    <row r="51" spans="1:2" x14ac:dyDescent="0.35">
      <c r="A51" s="19" t="s">
        <v>23</v>
      </c>
      <c r="B51" s="67">
        <f>B38*7/107</f>
        <v>23517.552736614536</v>
      </c>
    </row>
    <row r="52" spans="1:2" ht="15" thickBot="1" x14ac:dyDescent="0.4">
      <c r="A52" s="47" t="s">
        <v>24</v>
      </c>
      <c r="B52" s="66">
        <f>B38-SUM(B48:B51)-(D29*B36)</f>
        <v>139847.03259266188</v>
      </c>
    </row>
  </sheetData>
  <mergeCells count="8">
    <mergeCell ref="E11:F12"/>
    <mergeCell ref="A12:D12"/>
    <mergeCell ref="A19:D19"/>
    <mergeCell ref="A23:D23"/>
    <mergeCell ref="A1:A2"/>
    <mergeCell ref="B1:B2"/>
    <mergeCell ref="C1:C2"/>
    <mergeCell ref="D1:D2"/>
  </mergeCells>
  <pageMargins left="0.7" right="0.7" top="0.75" bottom="0.75" header="0.3" footer="0.3"/>
  <pageSetup paperSize="9" scale="53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'справочник материалы'!$A$2:$A$62</xm:f>
          </x14:formula1>
          <xm:sqref>A3:A10</xm:sqref>
        </x14:dataValidation>
        <x14:dataValidation type="list" allowBlank="1" showInputMessage="1" showErrorMessage="1">
          <x14:formula1>
            <xm:f>'справ.сторонних услуг'!$A$1:$A$5</xm:f>
          </x14:formula1>
          <xm:sqref>A24:A28</xm:sqref>
        </x14:dataValidation>
        <x14:dataValidation type="list" allowBlank="1" showInputMessage="1" showErrorMessage="1">
          <x14:formula1>
            <xm:f>'справочник инструменты'!$A$1:$A$2</xm:f>
          </x14:formula1>
          <xm:sqref>A20:A21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91" zoomScaleNormal="91" workbookViewId="0">
      <selection activeCell="D33" sqref="D33"/>
    </sheetView>
  </sheetViews>
  <sheetFormatPr defaultRowHeight="14.5" x14ac:dyDescent="0.35"/>
  <cols>
    <col min="1" max="1" width="24.81640625" customWidth="1"/>
    <col min="2" max="2" width="13" customWidth="1"/>
    <col min="3" max="3" width="14.54296875" customWidth="1"/>
    <col min="4" max="6" width="14" customWidth="1"/>
    <col min="7" max="7" width="20.81640625" customWidth="1"/>
    <col min="8" max="8" width="19.453125" customWidth="1"/>
    <col min="9" max="9" width="15.54296875" customWidth="1"/>
    <col min="10" max="10" width="11.7265625" customWidth="1"/>
  </cols>
  <sheetData>
    <row r="1" spans="1:6" ht="29.5" customHeight="1" x14ac:dyDescent="0.35">
      <c r="A1" s="111" t="s">
        <v>39</v>
      </c>
      <c r="B1" s="113" t="s">
        <v>2</v>
      </c>
      <c r="C1" s="113" t="s">
        <v>3</v>
      </c>
      <c r="D1" s="113" t="s">
        <v>4</v>
      </c>
      <c r="E1" s="53"/>
      <c r="F1" s="53"/>
    </row>
    <row r="2" spans="1:6" ht="18.649999999999999" customHeight="1" thickBot="1" x14ac:dyDescent="0.4">
      <c r="A2" s="112"/>
      <c r="B2" s="114"/>
      <c r="C2" s="114"/>
      <c r="D2" s="114"/>
      <c r="E2" s="53"/>
      <c r="F2" s="53"/>
    </row>
    <row r="3" spans="1:6" ht="27.65" customHeight="1" x14ac:dyDescent="0.35">
      <c r="A3" s="22" t="str">
        <f>'расчет сс'!A3</f>
        <v>кожзам</v>
      </c>
      <c r="B3" s="23">
        <v>0.3</v>
      </c>
      <c r="C3" s="24">
        <v>284</v>
      </c>
      <c r="D3" s="25">
        <f t="shared" ref="D3:D10" si="0">B3*C3</f>
        <v>85.2</v>
      </c>
      <c r="E3" s="54"/>
      <c r="F3" s="54"/>
    </row>
    <row r="4" spans="1:6" ht="17.149999999999999" customHeight="1" x14ac:dyDescent="0.35">
      <c r="A4" s="26" t="str">
        <f>'расчет сс'!A4</f>
        <v>Молния №6</v>
      </c>
      <c r="B4" s="82">
        <v>1.3</v>
      </c>
      <c r="C4" s="4">
        <v>5.42</v>
      </c>
      <c r="D4" s="27">
        <f t="shared" si="0"/>
        <v>7.0460000000000003</v>
      </c>
      <c r="E4" s="54"/>
      <c r="F4" s="54"/>
    </row>
    <row r="5" spans="1:6" x14ac:dyDescent="0.35">
      <c r="A5" s="26" t="str">
        <f>'расчет сс'!A5</f>
        <v>бегунок</v>
      </c>
      <c r="B5" s="82">
        <v>4</v>
      </c>
      <c r="C5" s="4">
        <v>5.3</v>
      </c>
      <c r="D5" s="27">
        <f>C5*B5</f>
        <v>21.2</v>
      </c>
      <c r="E5" s="54"/>
      <c r="F5" s="54"/>
    </row>
    <row r="6" spans="1:6" ht="16.5" customHeight="1" x14ac:dyDescent="0.35">
      <c r="A6" s="26" t="str">
        <f>'расчет сс'!A6</f>
        <v>пенка</v>
      </c>
      <c r="B6" s="82">
        <v>0.26</v>
      </c>
      <c r="C6" s="4">
        <v>20.2</v>
      </c>
      <c r="D6" s="27">
        <f t="shared" si="0"/>
        <v>5.2519999999999998</v>
      </c>
      <c r="E6" s="54"/>
      <c r="F6" s="54"/>
    </row>
    <row r="7" spans="1:6" x14ac:dyDescent="0.35">
      <c r="A7" s="26" t="str">
        <f>'расчет сс'!A7</f>
        <v>Оксфорд 210</v>
      </c>
      <c r="B7" s="82">
        <v>0.45</v>
      </c>
      <c r="C7" s="4">
        <v>53</v>
      </c>
      <c r="D7" s="27">
        <f t="shared" si="0"/>
        <v>23.85</v>
      </c>
      <c r="E7" s="54"/>
      <c r="F7" s="54"/>
    </row>
    <row r="8" spans="1:6" x14ac:dyDescent="0.35">
      <c r="A8" s="26"/>
      <c r="B8" s="82"/>
      <c r="C8" s="4"/>
      <c r="D8" s="27">
        <f t="shared" si="0"/>
        <v>0</v>
      </c>
      <c r="E8" s="54"/>
      <c r="F8" s="54"/>
    </row>
    <row r="9" spans="1:6" x14ac:dyDescent="0.35">
      <c r="A9" s="26"/>
      <c r="B9" s="82"/>
      <c r="C9" s="4"/>
      <c r="D9" s="27">
        <f t="shared" si="0"/>
        <v>0</v>
      </c>
      <c r="E9" s="54"/>
      <c r="F9" s="54"/>
    </row>
    <row r="10" spans="1:6" ht="15" thickBot="1" x14ac:dyDescent="0.4">
      <c r="A10" s="26"/>
      <c r="B10" s="82"/>
      <c r="C10" s="4"/>
      <c r="D10" s="51">
        <f t="shared" si="0"/>
        <v>0</v>
      </c>
      <c r="E10" s="54"/>
      <c r="F10" s="54"/>
    </row>
    <row r="11" spans="1:6" ht="15" thickBot="1" x14ac:dyDescent="0.4">
      <c r="A11" s="28" t="s">
        <v>5</v>
      </c>
      <c r="B11" s="29"/>
      <c r="C11" s="78"/>
      <c r="D11" s="15">
        <f>SUM(D3:D10)</f>
        <v>142.548</v>
      </c>
      <c r="E11" s="101"/>
      <c r="F11" s="101"/>
    </row>
    <row r="12" spans="1:6" ht="19" thickBot="1" x14ac:dyDescent="0.5">
      <c r="A12" s="102" t="s">
        <v>45</v>
      </c>
      <c r="B12" s="103"/>
      <c r="C12" s="103"/>
      <c r="D12" s="104"/>
      <c r="E12" s="101"/>
      <c r="F12" s="101"/>
    </row>
    <row r="13" spans="1:6" x14ac:dyDescent="0.35">
      <c r="A13" s="22" t="s">
        <v>7</v>
      </c>
      <c r="B13" s="96">
        <f>B14*10</f>
        <v>180</v>
      </c>
      <c r="C13" s="23">
        <f>[1]Лист2!I12</f>
        <v>2000</v>
      </c>
      <c r="D13" s="25">
        <f>C13/B13</f>
        <v>11.111111111111111</v>
      </c>
      <c r="E13" s="54"/>
      <c r="F13" s="54"/>
    </row>
    <row r="14" spans="1:6" x14ac:dyDescent="0.35">
      <c r="A14" s="26" t="s">
        <v>10</v>
      </c>
      <c r="B14" s="11">
        <f>B37</f>
        <v>18</v>
      </c>
      <c r="C14" s="82">
        <f>C13</f>
        <v>2000</v>
      </c>
      <c r="D14" s="27">
        <f>C14/B14</f>
        <v>111.11111111111111</v>
      </c>
      <c r="E14" s="54"/>
      <c r="F14" s="54"/>
    </row>
    <row r="15" spans="1:6" x14ac:dyDescent="0.35">
      <c r="A15" s="30" t="s">
        <v>11</v>
      </c>
      <c r="B15" s="97">
        <f>B13</f>
        <v>180</v>
      </c>
      <c r="C15" s="82">
        <f>C13</f>
        <v>2000</v>
      </c>
      <c r="D15" s="27">
        <f>C15/B15</f>
        <v>11.111111111111111</v>
      </c>
      <c r="E15" s="54"/>
      <c r="F15" s="54"/>
    </row>
    <row r="16" spans="1:6" ht="15" thickBot="1" x14ac:dyDescent="0.4">
      <c r="A16" s="50" t="s">
        <v>12</v>
      </c>
      <c r="B16" s="46"/>
      <c r="C16" s="46"/>
      <c r="D16" s="51">
        <f>('[2]постоянные затраты'!$D$12/(B37*'[2]постоянные затраты'!$D$15))+[1]Лист2!F15</f>
        <v>93.120441595441577</v>
      </c>
      <c r="E16" s="54"/>
      <c r="F16" s="54"/>
    </row>
    <row r="17" spans="1:6" ht="15" thickBot="1" x14ac:dyDescent="0.4">
      <c r="A17" s="52" t="s">
        <v>8</v>
      </c>
      <c r="B17" s="35"/>
      <c r="C17" s="35"/>
      <c r="D17" s="36">
        <f>SUM(D13:D16)</f>
        <v>226.45377492877492</v>
      </c>
      <c r="E17" s="45"/>
      <c r="F17" s="45"/>
    </row>
    <row r="18" spans="1:6" ht="26.15" customHeight="1" thickBot="1" x14ac:dyDescent="0.5">
      <c r="A18" s="71" t="s">
        <v>13</v>
      </c>
      <c r="B18" s="32"/>
      <c r="C18" s="60"/>
      <c r="D18" s="72">
        <f>'расчет сс'!D18</f>
        <v>1.6</v>
      </c>
      <c r="E18" s="45"/>
      <c r="F18" s="45"/>
    </row>
    <row r="19" spans="1:6" ht="15.5" x14ac:dyDescent="0.35">
      <c r="A19" s="105" t="s">
        <v>44</v>
      </c>
      <c r="B19" s="106"/>
      <c r="C19" s="106"/>
      <c r="D19" s="107"/>
      <c r="E19" s="44"/>
      <c r="F19" s="44"/>
    </row>
    <row r="20" spans="1:6" ht="15.5" x14ac:dyDescent="0.35">
      <c r="A20" s="48" t="s">
        <v>32</v>
      </c>
      <c r="B20" s="82">
        <v>750</v>
      </c>
      <c r="C20" s="82">
        <v>1600</v>
      </c>
      <c r="D20" s="34">
        <f>C20/B20</f>
        <v>2.1333333333333333</v>
      </c>
      <c r="E20" s="45"/>
      <c r="F20" s="45"/>
    </row>
    <row r="21" spans="1:6" ht="16" thickBot="1" x14ac:dyDescent="0.4">
      <c r="A21" s="49"/>
      <c r="B21" s="46"/>
      <c r="C21" s="46"/>
      <c r="D21" s="42"/>
      <c r="E21" s="45"/>
      <c r="F21" s="45"/>
    </row>
    <row r="22" spans="1:6" ht="15" thickBot="1" x14ac:dyDescent="0.4">
      <c r="A22" s="52" t="s">
        <v>8</v>
      </c>
      <c r="B22" s="35"/>
      <c r="C22" s="35"/>
      <c r="D22" s="36">
        <f>SUM(D20:D21)</f>
        <v>2.1333333333333333</v>
      </c>
      <c r="E22" s="45"/>
      <c r="F22" s="45"/>
    </row>
    <row r="23" spans="1:6" ht="18" customHeight="1" x14ac:dyDescent="0.35">
      <c r="A23" s="108" t="s">
        <v>40</v>
      </c>
      <c r="B23" s="109"/>
      <c r="C23" s="109"/>
      <c r="D23" s="110"/>
      <c r="E23" s="56"/>
      <c r="F23" s="56"/>
    </row>
    <row r="24" spans="1:6" ht="16" customHeight="1" x14ac:dyDescent="0.35">
      <c r="A24" s="77" t="s">
        <v>36</v>
      </c>
      <c r="B24" s="3">
        <v>1</v>
      </c>
      <c r="C24" s="3">
        <v>15</v>
      </c>
      <c r="D24" s="5">
        <f>C24*B24</f>
        <v>15</v>
      </c>
      <c r="E24" s="45"/>
      <c r="F24" s="45"/>
    </row>
    <row r="25" spans="1:6" ht="16" customHeight="1" x14ac:dyDescent="0.35">
      <c r="A25" s="74"/>
      <c r="B25" s="75"/>
      <c r="C25" s="75"/>
      <c r="D25" s="76">
        <f>C25*B25</f>
        <v>0</v>
      </c>
      <c r="E25" s="45"/>
      <c r="F25" s="45"/>
    </row>
    <row r="26" spans="1:6" ht="16" customHeight="1" x14ac:dyDescent="0.35">
      <c r="A26" s="33"/>
      <c r="B26" s="3"/>
      <c r="C26" s="3"/>
      <c r="D26" s="34"/>
      <c r="E26" s="45"/>
      <c r="F26" s="45"/>
    </row>
    <row r="27" spans="1:6" ht="16" customHeight="1" x14ac:dyDescent="0.35">
      <c r="A27" s="33"/>
      <c r="B27" s="3"/>
      <c r="C27" s="3"/>
      <c r="D27" s="34"/>
      <c r="E27" s="45"/>
      <c r="F27" s="45"/>
    </row>
    <row r="28" spans="1:6" ht="16" customHeight="1" thickBot="1" x14ac:dyDescent="0.4">
      <c r="A28" s="41"/>
      <c r="B28" s="38"/>
      <c r="C28" s="38"/>
      <c r="D28" s="42"/>
      <c r="E28" s="45"/>
      <c r="F28" s="45"/>
    </row>
    <row r="29" spans="1:6" ht="16" customHeight="1" thickBot="1" x14ac:dyDescent="0.4">
      <c r="A29" s="43" t="s">
        <v>41</v>
      </c>
      <c r="B29" s="37"/>
      <c r="C29" s="37"/>
      <c r="D29" s="36">
        <f>SUM(D24:D28)+[1]Лист2!H15</f>
        <v>16.600000000000001</v>
      </c>
      <c r="E29" s="45"/>
      <c r="F29" s="45"/>
    </row>
    <row r="30" spans="1:6" ht="15" thickBot="1" x14ac:dyDescent="0.4">
      <c r="A30" s="6"/>
      <c r="D30" s="98"/>
      <c r="E30" s="98"/>
      <c r="F30" s="98"/>
    </row>
    <row r="31" spans="1:6" ht="29.5" thickBot="1" x14ac:dyDescent="0.4">
      <c r="A31" s="13" t="s">
        <v>14</v>
      </c>
      <c r="B31" s="14"/>
      <c r="C31" s="14"/>
      <c r="D31" s="15">
        <f>D11+D17+D22</f>
        <v>371.13510826210825</v>
      </c>
      <c r="E31" s="79"/>
      <c r="F31" s="79"/>
    </row>
    <row r="32" spans="1:6" ht="15" thickBot="1" x14ac:dyDescent="0.4">
      <c r="A32" s="16" t="s">
        <v>15</v>
      </c>
      <c r="B32" s="14"/>
      <c r="C32" s="14"/>
      <c r="D32" s="15">
        <f>D31*D18+D29</f>
        <v>610.41617321937326</v>
      </c>
      <c r="E32" s="79"/>
      <c r="F32" s="79"/>
    </row>
    <row r="33" spans="1:6" ht="31.5" thickBot="1" x14ac:dyDescent="0.4">
      <c r="A33" s="17" t="s">
        <v>16</v>
      </c>
      <c r="B33" s="14"/>
      <c r="C33" s="14"/>
      <c r="D33" s="18">
        <v>580</v>
      </c>
      <c r="E33" s="31"/>
      <c r="F33" s="31"/>
    </row>
    <row r="35" spans="1:6" x14ac:dyDescent="0.35">
      <c r="A35" s="80" t="s">
        <v>0</v>
      </c>
      <c r="B35" s="81">
        <v>26</v>
      </c>
    </row>
    <row r="36" spans="1:6" x14ac:dyDescent="0.35">
      <c r="A36" s="81" t="s">
        <v>1</v>
      </c>
      <c r="B36" s="81">
        <f>'расчет сс'!B36</f>
        <v>750</v>
      </c>
    </row>
    <row r="37" spans="1:6" ht="15" thickBot="1" x14ac:dyDescent="0.4">
      <c r="A37" s="80" t="s">
        <v>9</v>
      </c>
      <c r="B37" s="81">
        <v>18</v>
      </c>
    </row>
    <row r="38" spans="1:6" ht="18.5" x14ac:dyDescent="0.45">
      <c r="A38" s="61" t="s">
        <v>19</v>
      </c>
      <c r="B38" s="62">
        <f>D33*B36</f>
        <v>435000</v>
      </c>
    </row>
    <row r="39" spans="1:6" ht="43.5" x14ac:dyDescent="0.35">
      <c r="A39" s="58" t="s">
        <v>42</v>
      </c>
      <c r="B39" s="58" t="s">
        <v>43</v>
      </c>
    </row>
    <row r="40" spans="1:6" x14ac:dyDescent="0.35">
      <c r="A40" s="21">
        <f>B36</f>
        <v>750</v>
      </c>
      <c r="B40" s="59"/>
    </row>
    <row r="41" spans="1:6" x14ac:dyDescent="0.35">
      <c r="A41" s="82">
        <f>B3*$A$40</f>
        <v>225</v>
      </c>
      <c r="B41" s="3">
        <f>C3*A41</f>
        <v>63900</v>
      </c>
    </row>
    <row r="42" spans="1:6" x14ac:dyDescent="0.35">
      <c r="A42" s="82">
        <f>B4*$A$40</f>
        <v>975</v>
      </c>
      <c r="B42" s="3">
        <f>C4*A42</f>
        <v>5284.5</v>
      </c>
    </row>
    <row r="43" spans="1:6" x14ac:dyDescent="0.35">
      <c r="A43" s="82">
        <f>B6*$A$40</f>
        <v>195</v>
      </c>
      <c r="B43" s="3">
        <f t="shared" ref="B43:B47" si="1">C6*A43</f>
        <v>3939</v>
      </c>
    </row>
    <row r="44" spans="1:6" x14ac:dyDescent="0.35">
      <c r="A44" s="82">
        <f>B7*$A$40</f>
        <v>337.5</v>
      </c>
      <c r="B44" s="3">
        <f t="shared" si="1"/>
        <v>17887.5</v>
      </c>
    </row>
    <row r="45" spans="1:6" x14ac:dyDescent="0.35">
      <c r="A45" s="82">
        <f>B8*$A$40</f>
        <v>0</v>
      </c>
      <c r="B45" s="3">
        <f t="shared" si="1"/>
        <v>0</v>
      </c>
    </row>
    <row r="46" spans="1:6" x14ac:dyDescent="0.35">
      <c r="A46" s="82">
        <f>B9*$A$40</f>
        <v>0</v>
      </c>
      <c r="B46" s="3">
        <f t="shared" si="1"/>
        <v>0</v>
      </c>
    </row>
    <row r="47" spans="1:6" ht="15" thickBot="1" x14ac:dyDescent="0.4">
      <c r="A47" s="82">
        <f>B10*$A$40</f>
        <v>0</v>
      </c>
      <c r="B47" s="38">
        <f t="shared" si="1"/>
        <v>0</v>
      </c>
    </row>
    <row r="48" spans="1:6" ht="15" thickBot="1" x14ac:dyDescent="0.4">
      <c r="A48" s="20" t="s">
        <v>20</v>
      </c>
      <c r="B48" s="63">
        <f>SUM(B41:B47)</f>
        <v>91011</v>
      </c>
    </row>
    <row r="49" spans="1:2" ht="29.5" thickBot="1" x14ac:dyDescent="0.4">
      <c r="A49" s="40" t="s">
        <v>21</v>
      </c>
      <c r="B49" s="64">
        <f>D16*'расчет сс'!B36</f>
        <v>69840.331196581188</v>
      </c>
    </row>
    <row r="50" spans="1:2" ht="15" thickBot="1" x14ac:dyDescent="0.4">
      <c r="A50" s="39" t="s">
        <v>22</v>
      </c>
      <c r="B50" s="65">
        <f>SUM(D13:D15)*'расчет сс'!B36</f>
        <v>100000</v>
      </c>
    </row>
    <row r="51" spans="1:2" x14ac:dyDescent="0.35">
      <c r="A51" s="19" t="s">
        <v>23</v>
      </c>
      <c r="B51" s="67">
        <f>B38*7/107</f>
        <v>28457.943925233645</v>
      </c>
    </row>
    <row r="52" spans="1:2" ht="15" thickBot="1" x14ac:dyDescent="0.4">
      <c r="A52" s="47" t="s">
        <v>24</v>
      </c>
      <c r="B52" s="66">
        <f>B38-SUM(B48:B51)-(D29*B36)</f>
        <v>133240.7248781852</v>
      </c>
    </row>
  </sheetData>
  <mergeCells count="8">
    <mergeCell ref="E11:F12"/>
    <mergeCell ref="A12:D12"/>
    <mergeCell ref="A19:D19"/>
    <mergeCell ref="A23:D23"/>
    <mergeCell ref="A1:A2"/>
    <mergeCell ref="B1:B2"/>
    <mergeCell ref="C1:C2"/>
    <mergeCell ref="D1:D2"/>
  </mergeCells>
  <pageMargins left="0.7" right="0.7" top="0.75" bottom="0.75" header="0.3" footer="0.3"/>
  <pageSetup paperSize="9" scale="80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'справочник инструменты'!$A$1:$A$2</xm:f>
          </x14:formula1>
          <xm:sqref>A20:A21</xm:sqref>
        </x14:dataValidation>
        <x14:dataValidation type="list" allowBlank="1" showInputMessage="1" showErrorMessage="1">
          <x14:formula1>
            <xm:f>'справ.сторонних услуг'!$A$1:$A$5</xm:f>
          </x14:formula1>
          <xm:sqref>A24:A28</xm:sqref>
        </x14:dataValidation>
        <x14:dataValidation type="list" allowBlank="1" showInputMessage="1" showErrorMessage="1">
          <x14:formula1>
            <xm:f>'справочник материалы'!$A$2:$A$62</xm:f>
          </x14:formula1>
          <xm:sqref>A3:A10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zoomScale="80" zoomScaleNormal="80" workbookViewId="0">
      <selection activeCell="I10" sqref="I10"/>
    </sheetView>
  </sheetViews>
  <sheetFormatPr defaultRowHeight="14.5" x14ac:dyDescent="0.35"/>
  <cols>
    <col min="1" max="1" width="4.453125" customWidth="1"/>
    <col min="2" max="2" width="11.6328125" customWidth="1"/>
    <col min="3" max="3" width="14.54296875" customWidth="1"/>
    <col min="4" max="4" width="15.26953125" customWidth="1"/>
    <col min="5" max="5" width="8.7265625" customWidth="1"/>
    <col min="7" max="7" width="11" customWidth="1"/>
    <col min="8" max="8" width="11.26953125" customWidth="1"/>
    <col min="10" max="10" width="10.36328125" bestFit="1" customWidth="1"/>
    <col min="11" max="11" width="10.453125" customWidth="1"/>
    <col min="12" max="12" width="9.81640625" customWidth="1"/>
    <col min="13" max="13" width="13" customWidth="1"/>
    <col min="14" max="14" width="12.26953125" customWidth="1"/>
    <col min="15" max="16" width="9" customWidth="1"/>
    <col min="17" max="17" width="10.453125" customWidth="1"/>
    <col min="18" max="18" width="10" customWidth="1"/>
    <col min="19" max="19" width="11.1796875" customWidth="1"/>
    <col min="20" max="20" width="11.81640625" customWidth="1"/>
    <col min="21" max="21" width="13" customWidth="1"/>
  </cols>
  <sheetData>
    <row r="1" spans="1:21" ht="30" thickTop="1" thickBot="1" x14ac:dyDescent="0.4">
      <c r="A1" s="83" t="s">
        <v>69</v>
      </c>
      <c r="B1" s="83" t="s">
        <v>70</v>
      </c>
      <c r="C1" s="83" t="s">
        <v>71</v>
      </c>
      <c r="D1" s="84" t="s">
        <v>17</v>
      </c>
      <c r="E1" s="84" t="s">
        <v>72</v>
      </c>
      <c r="F1" s="83" t="s">
        <v>18</v>
      </c>
      <c r="G1" s="85" t="s">
        <v>73</v>
      </c>
      <c r="H1" s="86" t="s">
        <v>74</v>
      </c>
      <c r="I1" s="87" t="s">
        <v>75</v>
      </c>
      <c r="J1" s="83" t="s">
        <v>76</v>
      </c>
      <c r="K1" s="83" t="s">
        <v>77</v>
      </c>
      <c r="L1" s="84" t="s">
        <v>78</v>
      </c>
      <c r="M1" s="83" t="s">
        <v>79</v>
      </c>
      <c r="N1" s="83" t="s">
        <v>80</v>
      </c>
      <c r="O1" s="83" t="s">
        <v>81</v>
      </c>
      <c r="P1" s="83" t="s">
        <v>82</v>
      </c>
      <c r="Q1" s="100" t="s">
        <v>83</v>
      </c>
      <c r="R1" s="83" t="s">
        <v>84</v>
      </c>
      <c r="S1" s="83" t="s">
        <v>85</v>
      </c>
      <c r="T1" s="83" t="s">
        <v>86</v>
      </c>
      <c r="U1" s="84" t="s">
        <v>87</v>
      </c>
    </row>
    <row r="2" spans="1:21" ht="15.5" thickTop="1" thickBot="1" x14ac:dyDescent="0.4">
      <c r="A2" s="88"/>
      <c r="B2" s="89"/>
      <c r="C2" s="90"/>
      <c r="D2" s="88"/>
      <c r="E2" s="88"/>
      <c r="F2" s="91"/>
      <c r="G2" s="92"/>
      <c r="H2" s="93"/>
      <c r="I2" s="86"/>
      <c r="J2" s="88"/>
      <c r="K2" s="88"/>
      <c r="L2" s="88"/>
      <c r="M2" s="88"/>
      <c r="N2" s="88"/>
      <c r="O2" s="88"/>
      <c r="P2" s="88"/>
      <c r="Q2" s="88"/>
      <c r="R2" s="88"/>
      <c r="S2" s="94"/>
      <c r="T2" s="88"/>
      <c r="U2" s="88"/>
    </row>
    <row r="3" spans="1:21" ht="15" thickTop="1" x14ac:dyDescent="0.35">
      <c r="A3">
        <v>1</v>
      </c>
      <c r="B3" s="99">
        <v>43550</v>
      </c>
      <c r="C3" t="s">
        <v>88</v>
      </c>
      <c r="D3" t="s">
        <v>89</v>
      </c>
      <c r="E3">
        <f>'расчет сс'!B36</f>
        <v>750</v>
      </c>
      <c r="F3" s="2">
        <f>факт!D33</f>
        <v>580</v>
      </c>
      <c r="G3" s="95">
        <f>факт!B38</f>
        <v>435000</v>
      </c>
      <c r="H3" s="95">
        <v>435000</v>
      </c>
      <c r="I3" s="95">
        <f>IF((H3-G3)&gt;=0,0,ABS(H3-G3))</f>
        <v>0</v>
      </c>
      <c r="J3" s="99">
        <v>43577</v>
      </c>
      <c r="K3" s="95">
        <f>'расчет сс'!B50</f>
        <v>54068.571428571428</v>
      </c>
      <c r="L3" s="95">
        <f>факт!B50</f>
        <v>100000</v>
      </c>
      <c r="M3" s="95">
        <f>'расчет сс'!B48</f>
        <v>91011</v>
      </c>
      <c r="N3" s="95">
        <f>факт!B48</f>
        <v>91011</v>
      </c>
      <c r="O3" s="95">
        <f>'расчет сс'!D29*'расчет сс'!B36</f>
        <v>12450.000000000002</v>
      </c>
      <c r="P3" s="95">
        <f>факт!D29*факт!B36</f>
        <v>12450.000000000002</v>
      </c>
      <c r="Q3" s="95">
        <f>'расчет сс'!B49</f>
        <v>38588.435073260058</v>
      </c>
      <c r="R3" s="95">
        <f>факт!B49</f>
        <v>69840.331196581188</v>
      </c>
      <c r="S3" s="95">
        <f>'расчет сс'!B52</f>
        <v>139847.03259266188</v>
      </c>
      <c r="T3" s="95">
        <f>факт!B52</f>
        <v>133240.7248781852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4"/>
  <sheetViews>
    <sheetView workbookViewId="0">
      <selection activeCell="C8" sqref="C8"/>
    </sheetView>
  </sheetViews>
  <sheetFormatPr defaultColWidth="25.1796875" defaultRowHeight="14.5" x14ac:dyDescent="0.35"/>
  <cols>
    <col min="1" max="1" width="5.81640625" customWidth="1"/>
    <col min="2" max="2" width="25.1796875" style="1" customWidth="1"/>
    <col min="3" max="3" width="13.26953125" style="1" customWidth="1"/>
    <col min="4" max="4" width="7.7265625" customWidth="1"/>
    <col min="5" max="5" width="6.453125" customWidth="1"/>
    <col min="6" max="6" width="10.453125" customWidth="1"/>
    <col min="7" max="7" width="0.1796875" customWidth="1"/>
    <col min="8" max="8" width="23.1796875" customWidth="1"/>
    <col min="9" max="9" width="8.1796875" customWidth="1"/>
    <col min="10" max="10" width="4.26953125" customWidth="1"/>
    <col min="11" max="11" width="12.1796875" customWidth="1"/>
  </cols>
  <sheetData>
    <row r="4" ht="14.5" customHeight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7" workbookViewId="0">
      <selection activeCell="A23" sqref="A23"/>
    </sheetView>
  </sheetViews>
  <sheetFormatPr defaultRowHeight="14.5" x14ac:dyDescent="0.35"/>
  <cols>
    <col min="1" max="1" width="20.453125" customWidth="1"/>
    <col min="2" max="2" width="8.7265625" style="2"/>
  </cols>
  <sheetData>
    <row r="1" spans="1:2" x14ac:dyDescent="0.35">
      <c r="A1" s="70" t="s">
        <v>17</v>
      </c>
      <c r="B1" s="7" t="s">
        <v>18</v>
      </c>
    </row>
    <row r="2" spans="1:2" x14ac:dyDescent="0.35">
      <c r="A2" s="57" t="s">
        <v>25</v>
      </c>
      <c r="B2" s="12"/>
    </row>
    <row r="3" spans="1:2" x14ac:dyDescent="0.35">
      <c r="A3" s="57" t="s">
        <v>29</v>
      </c>
      <c r="B3" s="12"/>
    </row>
    <row r="4" spans="1:2" x14ac:dyDescent="0.35">
      <c r="A4" s="57" t="s">
        <v>27</v>
      </c>
      <c r="B4" s="12"/>
    </row>
    <row r="5" spans="1:2" x14ac:dyDescent="0.35">
      <c r="A5" s="57" t="s">
        <v>28</v>
      </c>
      <c r="B5" s="12"/>
    </row>
    <row r="6" spans="1:2" x14ac:dyDescent="0.35">
      <c r="A6" s="57" t="s">
        <v>30</v>
      </c>
      <c r="B6" s="12"/>
    </row>
    <row r="7" spans="1:2" x14ac:dyDescent="0.35">
      <c r="A7" s="57" t="s">
        <v>31</v>
      </c>
      <c r="B7" s="12"/>
    </row>
    <row r="8" spans="1:2" x14ac:dyDescent="0.35">
      <c r="A8" s="57" t="s">
        <v>6</v>
      </c>
      <c r="B8" s="12"/>
    </row>
    <row r="9" spans="1:2" x14ac:dyDescent="0.35">
      <c r="A9" s="57" t="s">
        <v>59</v>
      </c>
      <c r="B9" s="12"/>
    </row>
    <row r="10" spans="1:2" x14ac:dyDescent="0.35">
      <c r="A10" s="57" t="s">
        <v>60</v>
      </c>
      <c r="B10" s="12"/>
    </row>
    <row r="11" spans="1:2" x14ac:dyDescent="0.35">
      <c r="A11" s="57" t="s">
        <v>46</v>
      </c>
      <c r="B11" s="12"/>
    </row>
    <row r="12" spans="1:2" x14ac:dyDescent="0.35">
      <c r="A12" s="57" t="s">
        <v>26</v>
      </c>
      <c r="B12" s="12"/>
    </row>
    <row r="13" spans="1:2" x14ac:dyDescent="0.35">
      <c r="A13" s="57" t="s">
        <v>56</v>
      </c>
      <c r="B13" s="12"/>
    </row>
    <row r="14" spans="1:2" x14ac:dyDescent="0.35">
      <c r="A14" s="57" t="s">
        <v>57</v>
      </c>
      <c r="B14" s="12"/>
    </row>
    <row r="15" spans="1:2" x14ac:dyDescent="0.35">
      <c r="A15" s="57" t="s">
        <v>58</v>
      </c>
      <c r="B15" s="12"/>
    </row>
    <row r="16" spans="1:2" x14ac:dyDescent="0.35">
      <c r="A16" s="57" t="s">
        <v>61</v>
      </c>
      <c r="B16" s="12"/>
    </row>
    <row r="17" spans="1:2" x14ac:dyDescent="0.35">
      <c r="A17" s="57" t="s">
        <v>62</v>
      </c>
      <c r="B17" s="12"/>
    </row>
    <row r="18" spans="1:2" x14ac:dyDescent="0.35">
      <c r="A18" s="3" t="s">
        <v>63</v>
      </c>
      <c r="B18" s="12"/>
    </row>
    <row r="19" spans="1:2" x14ac:dyDescent="0.35">
      <c r="A19" s="3" t="s">
        <v>64</v>
      </c>
      <c r="B19" s="12"/>
    </row>
    <row r="20" spans="1:2" x14ac:dyDescent="0.35">
      <c r="A20" s="3" t="s">
        <v>65</v>
      </c>
      <c r="B20" s="12"/>
    </row>
    <row r="21" spans="1:2" x14ac:dyDescent="0.35">
      <c r="A21" s="3" t="s">
        <v>67</v>
      </c>
      <c r="B21" s="12"/>
    </row>
    <row r="22" spans="1:2" x14ac:dyDescent="0.35">
      <c r="A22" s="3" t="s">
        <v>68</v>
      </c>
      <c r="B22" s="12"/>
    </row>
    <row r="23" spans="1:2" x14ac:dyDescent="0.35">
      <c r="A23" s="3" t="s">
        <v>25</v>
      </c>
      <c r="B23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5" sqref="D5"/>
    </sheetView>
  </sheetViews>
  <sheetFormatPr defaultRowHeight="14.5" x14ac:dyDescent="0.35"/>
  <cols>
    <col min="1" max="1" width="8.54296875" customWidth="1"/>
  </cols>
  <sheetData>
    <row r="1" spans="1:1" x14ac:dyDescent="0.35">
      <c r="A1" s="1" t="s">
        <v>32</v>
      </c>
    </row>
    <row r="2" spans="1:1" x14ac:dyDescent="0.35">
      <c r="A2" s="1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7" sqref="C7"/>
    </sheetView>
  </sheetViews>
  <sheetFormatPr defaultRowHeight="14.5" x14ac:dyDescent="0.35"/>
  <cols>
    <col min="1" max="1" width="17.7265625" customWidth="1"/>
  </cols>
  <sheetData>
    <row r="1" spans="1:1" x14ac:dyDescent="0.35">
      <c r="A1" s="1" t="s">
        <v>34</v>
      </c>
    </row>
    <row r="2" spans="1:1" x14ac:dyDescent="0.35">
      <c r="A2" s="1" t="s">
        <v>35</v>
      </c>
    </row>
    <row r="3" spans="1:1" x14ac:dyDescent="0.35">
      <c r="A3" s="1" t="s">
        <v>36</v>
      </c>
    </row>
    <row r="4" spans="1:1" x14ac:dyDescent="0.35">
      <c r="A4" s="1" t="s">
        <v>37</v>
      </c>
    </row>
    <row r="5" spans="1:1" x14ac:dyDescent="0.35">
      <c r="A5" s="1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5:G37"/>
  <sheetViews>
    <sheetView topLeftCell="A16" workbookViewId="0">
      <selection activeCell="C19" sqref="C19:G21"/>
    </sheetView>
  </sheetViews>
  <sheetFormatPr defaultRowHeight="14.5" x14ac:dyDescent="0.35"/>
  <cols>
    <col min="2" max="2" width="10.81640625" customWidth="1"/>
    <col min="3" max="3" width="8.1796875" customWidth="1"/>
    <col min="4" max="4" width="8.54296875" customWidth="1"/>
    <col min="5" max="5" width="11" customWidth="1"/>
    <col min="6" max="6" width="9.453125" customWidth="1"/>
  </cols>
  <sheetData>
    <row r="5" spans="5:7" x14ac:dyDescent="0.35">
      <c r="E5" s="68" t="s">
        <v>47</v>
      </c>
    </row>
    <row r="6" spans="5:7" x14ac:dyDescent="0.35">
      <c r="E6" s="68" t="s">
        <v>48</v>
      </c>
    </row>
    <row r="7" spans="5:7" x14ac:dyDescent="0.35">
      <c r="E7" s="68" t="s">
        <v>55</v>
      </c>
    </row>
    <row r="8" spans="5:7" x14ac:dyDescent="0.35">
      <c r="E8" s="68" t="s">
        <v>49</v>
      </c>
    </row>
    <row r="9" spans="5:7" x14ac:dyDescent="0.35">
      <c r="E9" s="68" t="s">
        <v>50</v>
      </c>
    </row>
    <row r="10" spans="5:7" x14ac:dyDescent="0.35">
      <c r="G10" s="68"/>
    </row>
    <row r="11" spans="5:7" x14ac:dyDescent="0.35">
      <c r="E11" s="117"/>
    </row>
    <row r="12" spans="5:7" x14ac:dyDescent="0.35">
      <c r="E12" s="117"/>
    </row>
    <row r="13" spans="5:7" x14ac:dyDescent="0.35">
      <c r="E13" s="117"/>
    </row>
    <row r="14" spans="5:7" x14ac:dyDescent="0.35">
      <c r="E14" s="117"/>
    </row>
    <row r="15" spans="5:7" x14ac:dyDescent="0.35">
      <c r="E15" s="117"/>
    </row>
    <row r="16" spans="5:7" x14ac:dyDescent="0.35">
      <c r="E16" s="117"/>
    </row>
    <row r="17" spans="3:7" ht="17.149999999999999" customHeight="1" x14ac:dyDescent="0.35">
      <c r="E17" s="117"/>
    </row>
    <row r="19" spans="3:7" x14ac:dyDescent="0.35">
      <c r="C19" s="118"/>
      <c r="D19" s="119"/>
      <c r="E19" s="119"/>
      <c r="F19" s="119"/>
      <c r="G19" s="120"/>
    </row>
    <row r="20" spans="3:7" x14ac:dyDescent="0.35">
      <c r="C20" s="121"/>
      <c r="D20" s="122"/>
      <c r="E20" s="122"/>
      <c r="F20" s="122"/>
      <c r="G20" s="123"/>
    </row>
    <row r="21" spans="3:7" x14ac:dyDescent="0.35">
      <c r="C21" s="124"/>
      <c r="D21" s="125"/>
      <c r="E21" s="125"/>
      <c r="F21" s="125"/>
      <c r="G21" s="126"/>
    </row>
    <row r="23" spans="3:7" x14ac:dyDescent="0.35">
      <c r="D23" s="115" t="str">
        <f>'расчет сс'!A3</f>
        <v>кожзам</v>
      </c>
      <c r="E23" s="115"/>
      <c r="F23" s="3"/>
    </row>
    <row r="24" spans="3:7" x14ac:dyDescent="0.35">
      <c r="D24" s="115" t="str">
        <f>'расчет сс'!A4</f>
        <v>Молния №6</v>
      </c>
      <c r="E24" s="115"/>
      <c r="F24" s="3"/>
    </row>
    <row r="25" spans="3:7" x14ac:dyDescent="0.35">
      <c r="D25" s="115" t="str">
        <f>'расчет сс'!A6</f>
        <v>пенка</v>
      </c>
      <c r="E25" s="115"/>
      <c r="F25" s="3"/>
    </row>
    <row r="26" spans="3:7" x14ac:dyDescent="0.35">
      <c r="D26" s="115" t="str">
        <f>'расчет сс'!A7</f>
        <v>Оксфорд 210</v>
      </c>
      <c r="E26" s="115"/>
      <c r="F26" s="3"/>
    </row>
    <row r="28" spans="3:7" x14ac:dyDescent="0.35">
      <c r="D28" s="117" t="s">
        <v>51</v>
      </c>
      <c r="E28" s="117"/>
    </row>
    <row r="29" spans="3:7" x14ac:dyDescent="0.35">
      <c r="D29" s="116" t="s">
        <v>36</v>
      </c>
      <c r="E29" s="116"/>
      <c r="F29" s="3"/>
    </row>
    <row r="30" spans="3:7" x14ac:dyDescent="0.35">
      <c r="D30" s="116"/>
      <c r="E30" s="116"/>
      <c r="F30" s="3"/>
    </row>
    <row r="31" spans="3:7" x14ac:dyDescent="0.35">
      <c r="D31" s="116"/>
      <c r="E31" s="116"/>
      <c r="F31" s="3"/>
    </row>
    <row r="32" spans="3:7" x14ac:dyDescent="0.35">
      <c r="D32" s="116"/>
      <c r="E32" s="116"/>
      <c r="F32" s="3"/>
    </row>
    <row r="33" spans="4:6" x14ac:dyDescent="0.35">
      <c r="D33" s="116"/>
      <c r="E33" s="116"/>
      <c r="F33" s="3"/>
    </row>
    <row r="35" spans="4:6" x14ac:dyDescent="0.35">
      <c r="D35" s="115" t="s">
        <v>53</v>
      </c>
      <c r="E35" s="115"/>
      <c r="F35" s="3">
        <f>'расчет сс'!B36</f>
        <v>750</v>
      </c>
    </row>
    <row r="36" spans="4:6" x14ac:dyDescent="0.35">
      <c r="D36" s="115" t="s">
        <v>54</v>
      </c>
      <c r="E36" s="115"/>
      <c r="F36" s="12">
        <f>'расчет сс'!D33</f>
        <v>479.31012244147723</v>
      </c>
    </row>
    <row r="37" spans="4:6" x14ac:dyDescent="0.35">
      <c r="D37" s="115" t="s">
        <v>52</v>
      </c>
      <c r="E37" s="115"/>
      <c r="F37" s="3"/>
    </row>
  </sheetData>
  <mergeCells count="15">
    <mergeCell ref="E11:E17"/>
    <mergeCell ref="C19:G21"/>
    <mergeCell ref="D23:E23"/>
    <mergeCell ref="D24:E24"/>
    <mergeCell ref="D25:E25"/>
    <mergeCell ref="D35:E35"/>
    <mergeCell ref="D36:E36"/>
    <mergeCell ref="D37:E37"/>
    <mergeCell ref="D26:E26"/>
    <mergeCell ref="D29:E29"/>
    <mergeCell ref="D30:E30"/>
    <mergeCell ref="D31:E31"/>
    <mergeCell ref="D32:E32"/>
    <mergeCell ref="D33:E33"/>
    <mergeCell ref="D28:E2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1" shapeId="1038" r:id="rId4">
          <objectPr defaultSize="0" autoPict="0" r:id="rId5">
            <anchor moveWithCells="1" sizeWithCells="1">
              <from>
                <xdr:col>3</xdr:col>
                <xdr:colOff>266700</xdr:colOff>
                <xdr:row>0</xdr:row>
                <xdr:rowOff>69850</xdr:rowOff>
              </from>
              <to>
                <xdr:col>5</xdr:col>
                <xdr:colOff>146050</xdr:colOff>
                <xdr:row>3</xdr:row>
                <xdr:rowOff>127000</xdr:rowOff>
              </to>
            </anchor>
          </objectPr>
        </oleObject>
      </mc:Choice>
      <mc:Fallback>
        <oleObject progId="CorelDraw.Graphic.11" shapeId="1038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'справ.сторонних услуг'!$A$1:$A$5</xm:f>
          </x14:formula1>
          <xm:sqref>D29:D33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расчет сс</vt:lpstr>
      <vt:lpstr>факт</vt:lpstr>
      <vt:lpstr>итог</vt:lpstr>
      <vt:lpstr>const</vt:lpstr>
      <vt:lpstr>справочник материалы</vt:lpstr>
      <vt:lpstr>справочник инструменты</vt:lpstr>
      <vt:lpstr>справ.сторонних услуг</vt:lpstr>
      <vt:lpstr>карточка</vt:lpstr>
      <vt:lpstr>инструменты</vt:lpstr>
      <vt:lpstr>Материалы</vt:lpstr>
      <vt:lpstr>УСЛУГИ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2019-04-22T09:52:24Z</cp:lastPrinted>
  <dcterms:created xsi:type="dcterms:W3CDTF">2019-03-28T13:12:05Z</dcterms:created>
  <dcterms:modified xsi:type="dcterms:W3CDTF">2019-04-24T10:58:12Z</dcterms:modified>
</cp:coreProperties>
</file>